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1FY\"/>
    </mc:Choice>
  </mc:AlternateContent>
  <bookViews>
    <workbookView xWindow="135" yWindow="150" windowWidth="14580" windowHeight="12975"/>
  </bookViews>
  <sheets>
    <sheet name="Summary" sheetId="1" r:id="rId1"/>
    <sheet name="Video Lottery" sheetId="3" r:id="rId2"/>
    <sheet name="Table Games" sheetId="2" r:id="rId3"/>
  </sheets>
  <definedNames>
    <definedName name="_xlnm.Print_Area" localSheetId="0">Summary!$A$1:$N$25</definedName>
    <definedName name="_xlnm.Print_Area" localSheetId="2">'Table Games'!$A$1:$L$22</definedName>
    <definedName name="_xlnm.Print_Area" localSheetId="1">'Video Lottery'!$A$1:$M$22</definedName>
  </definedNames>
  <calcPr calcId="162913"/>
</workbook>
</file>

<file path=xl/calcChain.xml><?xml version="1.0" encoding="utf-8"?>
<calcChain xmlns="http://schemas.openxmlformats.org/spreadsheetml/2006/main">
  <c r="H17" i="2" l="1"/>
  <c r="G17" i="2"/>
  <c r="C17" i="2"/>
  <c r="I17" i="3"/>
  <c r="H17" i="3"/>
  <c r="M17" i="3" l="1"/>
  <c r="L17" i="3"/>
  <c r="K17" i="3"/>
  <c r="C17" i="3"/>
  <c r="E17" i="3" l="1"/>
  <c r="F20" i="1" s="1"/>
  <c r="G20" i="1"/>
  <c r="C20" i="1"/>
  <c r="B20" i="1"/>
  <c r="D17" i="2"/>
  <c r="D20" i="1" l="1"/>
  <c r="F17" i="2"/>
  <c r="D17" i="3"/>
  <c r="C16" i="3"/>
  <c r="E16" i="3" s="1"/>
  <c r="F19" i="1" s="1"/>
  <c r="G19" i="1"/>
  <c r="C19" i="1"/>
  <c r="B19" i="1"/>
  <c r="C16" i="2"/>
  <c r="D16" i="2" s="1"/>
  <c r="K17" i="2" l="1"/>
  <c r="J17" i="2"/>
  <c r="L17" i="2"/>
  <c r="G17" i="3"/>
  <c r="E20" i="1"/>
  <c r="I17" i="2"/>
  <c r="D19" i="1"/>
  <c r="F16" i="2"/>
  <c r="D16" i="3"/>
  <c r="G16" i="3" s="1"/>
  <c r="D7" i="3"/>
  <c r="D8" i="3"/>
  <c r="D9" i="3"/>
  <c r="D10" i="3"/>
  <c r="D11" i="3"/>
  <c r="D12" i="3"/>
  <c r="D13" i="3"/>
  <c r="D14" i="3"/>
  <c r="D15" i="3"/>
  <c r="D6" i="3"/>
  <c r="C15" i="3"/>
  <c r="C14" i="3"/>
  <c r="C13" i="3"/>
  <c r="C11" i="3"/>
  <c r="C10" i="3"/>
  <c r="C9" i="3"/>
  <c r="C8" i="3"/>
  <c r="C7" i="3"/>
  <c r="C6" i="3"/>
  <c r="C12" i="3"/>
  <c r="C15" i="2"/>
  <c r="D15" i="2" s="1"/>
  <c r="C13" i="2"/>
  <c r="D13" i="2" s="1"/>
  <c r="C14" i="2"/>
  <c r="D9" i="2"/>
  <c r="D10" i="2"/>
  <c r="D11" i="2"/>
  <c r="D12" i="2"/>
  <c r="D14" i="2"/>
  <c r="H20" i="1" l="1"/>
  <c r="N20" i="1"/>
  <c r="M20" i="1"/>
  <c r="J20" i="1"/>
  <c r="J17" i="3"/>
  <c r="K20" i="1" s="1"/>
  <c r="I20" i="1"/>
  <c r="L20" i="1"/>
  <c r="L16" i="2"/>
  <c r="K16" i="2"/>
  <c r="J16" i="2"/>
  <c r="G16" i="2"/>
  <c r="M16" i="3"/>
  <c r="N19" i="1" s="1"/>
  <c r="L16" i="3"/>
  <c r="K16" i="3"/>
  <c r="L19" i="1" s="1"/>
  <c r="M19" i="1"/>
  <c r="H16" i="3"/>
  <c r="I19" i="1" s="1"/>
  <c r="E19" i="1"/>
  <c r="H19" i="1"/>
  <c r="H16" i="2"/>
  <c r="I16" i="2"/>
  <c r="I16" i="3"/>
  <c r="J16" i="3"/>
  <c r="G18" i="1"/>
  <c r="E18" i="1"/>
  <c r="D18" i="1"/>
  <c r="C18" i="1"/>
  <c r="B18" i="1"/>
  <c r="F15" i="2"/>
  <c r="L15" i="2" s="1"/>
  <c r="E15" i="3"/>
  <c r="G15" i="3" s="1"/>
  <c r="K15" i="3" s="1"/>
  <c r="J15" i="2" l="1"/>
  <c r="K19" i="1"/>
  <c r="J19" i="1"/>
  <c r="L15" i="3"/>
  <c r="M15" i="3"/>
  <c r="N18" i="1" s="1"/>
  <c r="H15" i="3"/>
  <c r="K15" i="2"/>
  <c r="G15" i="2"/>
  <c r="F18" i="1"/>
  <c r="H18" i="1"/>
  <c r="H15" i="2"/>
  <c r="I15" i="2"/>
  <c r="L18" i="1"/>
  <c r="J15" i="3"/>
  <c r="I15" i="3"/>
  <c r="M18" i="1" l="1"/>
  <c r="I18" i="1"/>
  <c r="J18" i="1"/>
  <c r="K18" i="1"/>
  <c r="G17" i="1"/>
  <c r="E17" i="1"/>
  <c r="D17" i="1"/>
  <c r="C17" i="1"/>
  <c r="B17" i="1"/>
  <c r="F14" i="2"/>
  <c r="E14" i="3"/>
  <c r="G14" i="3" s="1"/>
  <c r="H14" i="2" l="1"/>
  <c r="K14" i="2"/>
  <c r="J14" i="2"/>
  <c r="L14" i="2"/>
  <c r="G14" i="2"/>
  <c r="H14" i="3"/>
  <c r="K14" i="3"/>
  <c r="M14" i="3"/>
  <c r="L14" i="3"/>
  <c r="F17" i="1"/>
  <c r="H17" i="1"/>
  <c r="I14" i="2"/>
  <c r="I14" i="3"/>
  <c r="J14" i="3"/>
  <c r="E13" i="3"/>
  <c r="I17" i="1" l="1"/>
  <c r="N17" i="1"/>
  <c r="L17" i="1"/>
  <c r="M17" i="1"/>
  <c r="J17" i="1"/>
  <c r="K17" i="1"/>
  <c r="G16" i="1"/>
  <c r="E16" i="1"/>
  <c r="D16" i="1"/>
  <c r="C16" i="1"/>
  <c r="B16" i="1"/>
  <c r="F13" i="2"/>
  <c r="G13" i="3"/>
  <c r="K13" i="2" l="1"/>
  <c r="J13" i="2"/>
  <c r="G13" i="2"/>
  <c r="L13" i="2"/>
  <c r="K13" i="3"/>
  <c r="H13" i="3"/>
  <c r="M13" i="3"/>
  <c r="N16" i="1" s="1"/>
  <c r="L13" i="3"/>
  <c r="F16" i="1"/>
  <c r="H16" i="1"/>
  <c r="I13" i="2"/>
  <c r="H13" i="2"/>
  <c r="J13" i="3"/>
  <c r="I13" i="3"/>
  <c r="C12" i="2"/>
  <c r="F12" i="2" s="1"/>
  <c r="J12" i="2" s="1"/>
  <c r="G15" i="1"/>
  <c r="E15" i="1"/>
  <c r="C15" i="1"/>
  <c r="B15" i="1"/>
  <c r="E12" i="3"/>
  <c r="G12" i="3" s="1"/>
  <c r="K12" i="3" s="1"/>
  <c r="G12" i="2" l="1"/>
  <c r="K12" i="2"/>
  <c r="L12" i="2"/>
  <c r="M16" i="1"/>
  <c r="L16" i="1"/>
  <c r="J16" i="1"/>
  <c r="I16" i="1"/>
  <c r="K16" i="1"/>
  <c r="L12" i="3"/>
  <c r="M15" i="1" s="1"/>
  <c r="M12" i="3"/>
  <c r="N15" i="1" s="1"/>
  <c r="F15" i="1"/>
  <c r="H12" i="3"/>
  <c r="I15" i="1" s="1"/>
  <c r="L15" i="1"/>
  <c r="D15" i="1"/>
  <c r="H15" i="1"/>
  <c r="I12" i="3"/>
  <c r="J12" i="3"/>
  <c r="I12" i="2"/>
  <c r="H12" i="2"/>
  <c r="C11" i="2"/>
  <c r="F11" i="2" s="1"/>
  <c r="K11" i="2" s="1"/>
  <c r="G14" i="1"/>
  <c r="E14" i="1"/>
  <c r="C14" i="1"/>
  <c r="B14" i="1"/>
  <c r="E11" i="3"/>
  <c r="G11" i="3" s="1"/>
  <c r="L11" i="3" s="1"/>
  <c r="L11" i="2" l="1"/>
  <c r="J11" i="2"/>
  <c r="K15" i="1"/>
  <c r="J15" i="1"/>
  <c r="H11" i="3"/>
  <c r="M11" i="3"/>
  <c r="N14" i="1" s="1"/>
  <c r="K11" i="3"/>
  <c r="L14" i="1" s="1"/>
  <c r="F14" i="1"/>
  <c r="H14" i="1"/>
  <c r="M14" i="1"/>
  <c r="D14" i="1"/>
  <c r="G11" i="2"/>
  <c r="J11" i="3"/>
  <c r="I11" i="3"/>
  <c r="I11" i="2"/>
  <c r="H11" i="2"/>
  <c r="J14" i="1" l="1"/>
  <c r="K14" i="1"/>
  <c r="I14" i="1"/>
  <c r="G13" i="1"/>
  <c r="E13" i="1"/>
  <c r="C13" i="1"/>
  <c r="B13" i="1"/>
  <c r="E10" i="3"/>
  <c r="G10" i="3" s="1"/>
  <c r="C10" i="2"/>
  <c r="F10" i="2" s="1"/>
  <c r="K10" i="2" l="1"/>
  <c r="J10" i="2"/>
  <c r="G10" i="2"/>
  <c r="L10" i="2"/>
  <c r="K10" i="3"/>
  <c r="M10" i="3"/>
  <c r="N13" i="1" s="1"/>
  <c r="L10" i="3"/>
  <c r="M13" i="1" s="1"/>
  <c r="F13" i="1"/>
  <c r="D13" i="1"/>
  <c r="H13" i="1"/>
  <c r="H10" i="3"/>
  <c r="I13" i="1" s="1"/>
  <c r="I10" i="3"/>
  <c r="J10" i="3"/>
  <c r="I10" i="2"/>
  <c r="H10" i="2"/>
  <c r="C19" i="2"/>
  <c r="E19" i="2"/>
  <c r="B19" i="2"/>
  <c r="G12" i="1"/>
  <c r="C12" i="1"/>
  <c r="B12" i="1"/>
  <c r="E9" i="3"/>
  <c r="G9" i="3" s="1"/>
  <c r="M9" i="3" s="1"/>
  <c r="C9" i="2"/>
  <c r="D12" i="1" s="1"/>
  <c r="L13" i="1" l="1"/>
  <c r="L9" i="3"/>
  <c r="K9" i="3"/>
  <c r="J13" i="1"/>
  <c r="K13" i="1"/>
  <c r="H9" i="3"/>
  <c r="F12" i="1"/>
  <c r="J9" i="3"/>
  <c r="I9" i="3"/>
  <c r="F9" i="2" l="1"/>
  <c r="E12" i="1"/>
  <c r="K9" i="2" l="1"/>
  <c r="J9" i="2"/>
  <c r="G9" i="2"/>
  <c r="L9" i="2"/>
  <c r="I9" i="2"/>
  <c r="K12" i="1" s="1"/>
  <c r="H9" i="2"/>
  <c r="H12" i="1"/>
  <c r="G11" i="1"/>
  <c r="C11" i="1"/>
  <c r="B11" i="1"/>
  <c r="E8" i="3"/>
  <c r="G8" i="3" s="1"/>
  <c r="C8" i="2"/>
  <c r="D11" i="1" s="1"/>
  <c r="L12" i="1" l="1"/>
  <c r="N12" i="1"/>
  <c r="M12" i="1"/>
  <c r="J12" i="1"/>
  <c r="I12" i="1"/>
  <c r="K8" i="3"/>
  <c r="M8" i="3"/>
  <c r="L8" i="3"/>
  <c r="H8" i="3"/>
  <c r="F11" i="1"/>
  <c r="D8" i="2"/>
  <c r="I8" i="3"/>
  <c r="J8" i="3"/>
  <c r="C7" i="2"/>
  <c r="D7" i="2" s="1"/>
  <c r="E10" i="1" s="1"/>
  <c r="G10" i="1"/>
  <c r="C10" i="1"/>
  <c r="B10" i="1"/>
  <c r="E7" i="3"/>
  <c r="G7" i="3" s="1"/>
  <c r="M7" i="3" s="1"/>
  <c r="E11" i="1" l="1"/>
  <c r="F8" i="2"/>
  <c r="H11" i="1" s="1"/>
  <c r="K7" i="3"/>
  <c r="H7" i="3"/>
  <c r="L7" i="3"/>
  <c r="F10" i="1"/>
  <c r="D10" i="1"/>
  <c r="J7" i="3"/>
  <c r="I7" i="3"/>
  <c r="F7" i="2"/>
  <c r="H8" i="2" l="1"/>
  <c r="J11" i="1" s="1"/>
  <c r="I8" i="2"/>
  <c r="K11" i="1" s="1"/>
  <c r="L8" i="2"/>
  <c r="N11" i="1" s="1"/>
  <c r="J8" i="2"/>
  <c r="L11" i="1" s="1"/>
  <c r="K8" i="2"/>
  <c r="M11" i="1" s="1"/>
  <c r="G8" i="2"/>
  <c r="I11" i="1" s="1"/>
  <c r="L7" i="2"/>
  <c r="N10" i="1" s="1"/>
  <c r="K7" i="2"/>
  <c r="M10" i="1" s="1"/>
  <c r="J7" i="2"/>
  <c r="L10" i="1" s="1"/>
  <c r="H10" i="1"/>
  <c r="G7" i="2"/>
  <c r="I10" i="1" s="1"/>
  <c r="I7" i="2"/>
  <c r="K10" i="1" s="1"/>
  <c r="H7" i="2"/>
  <c r="J10" i="1" s="1"/>
  <c r="G9" i="1"/>
  <c r="C9" i="1"/>
  <c r="B9" i="1"/>
  <c r="C6" i="2"/>
  <c r="D9" i="1" s="1"/>
  <c r="E6" i="3"/>
  <c r="G6" i="3" s="1"/>
  <c r="L6" i="3" l="1"/>
  <c r="K6" i="3"/>
  <c r="M6" i="3"/>
  <c r="F9" i="1"/>
  <c r="D6" i="2"/>
  <c r="D19" i="2" s="1"/>
  <c r="H6" i="3"/>
  <c r="J6" i="3"/>
  <c r="I6" i="3"/>
  <c r="F6" i="2" l="1"/>
  <c r="E9" i="1"/>
  <c r="H9" i="1" l="1"/>
  <c r="F19" i="2"/>
  <c r="L6" i="2"/>
  <c r="L19" i="2" s="1"/>
  <c r="K6" i="2"/>
  <c r="K19" i="2" s="1"/>
  <c r="J6" i="2"/>
  <c r="J19" i="2" s="1"/>
  <c r="G6" i="2"/>
  <c r="G19" i="2" s="1"/>
  <c r="I6" i="2"/>
  <c r="H6" i="2"/>
  <c r="N9" i="1" l="1"/>
  <c r="K9" i="1"/>
  <c r="I19" i="2"/>
  <c r="L9" i="1"/>
  <c r="I9" i="1"/>
  <c r="J9" i="1"/>
  <c r="H19" i="2"/>
  <c r="M9" i="1"/>
  <c r="G22" i="1"/>
  <c r="C22" i="1"/>
  <c r="B22" i="1"/>
  <c r="C19" i="3"/>
  <c r="F19" i="3"/>
  <c r="B19" i="3"/>
  <c r="D19" i="3" l="1"/>
  <c r="F22" i="1"/>
  <c r="D22" i="1"/>
  <c r="E19" i="3" l="1"/>
  <c r="E22" i="1"/>
  <c r="M19" i="3" l="1"/>
  <c r="L19" i="3"/>
  <c r="H19" i="3"/>
  <c r="K19" i="3"/>
  <c r="J19" i="3"/>
  <c r="G19" i="3"/>
  <c r="I19" i="3"/>
  <c r="H22" i="1"/>
  <c r="M22" i="1" l="1"/>
  <c r="K22" i="1"/>
  <c r="I22" i="1"/>
  <c r="L22" i="1"/>
  <c r="J22" i="1"/>
  <c r="N22" i="1"/>
</calcChain>
</file>

<file path=xl/sharedStrings.xml><?xml version="1.0" encoding="utf-8"?>
<sst xmlns="http://schemas.openxmlformats.org/spreadsheetml/2006/main" count="83" uniqueCount="34">
  <si>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</si>
  <si>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</si>
  <si>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</si>
  <si>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</si>
  <si>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</si>
  <si>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</si>
  <si>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</si>
  <si>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</si>
  <si>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</si>
  <si>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</si>
  <si>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</si>
  <si>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</si>
  <si>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</si>
  <si>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</si>
  <si>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</si>
  <si>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</si>
  <si>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</si>
  <si>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</si>
  <si>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</si>
  <si>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FISCAL YEAR 2021</t>
  </si>
  <si>
    <t>July 2020</t>
  </si>
  <si>
    <t>FY 2020</t>
  </si>
  <si>
    <t>August 2020</t>
  </si>
  <si>
    <t>September 2020</t>
  </si>
  <si>
    <t>October 2020</t>
  </si>
  <si>
    <t>November 2020</t>
  </si>
  <si>
    <t>December 2020</t>
  </si>
  <si>
    <t>January 2021</t>
  </si>
  <si>
    <t>February 2021</t>
  </si>
  <si>
    <t>March 2021</t>
  </si>
  <si>
    <t>April 2021</t>
  </si>
  <si>
    <t>May 2021</t>
  </si>
  <si>
    <t>FOR THE MONTH ENDING JUNE 30, 2021</t>
  </si>
  <si>
    <t>June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</si>
</sst>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7" fontId="0" fillId="0" borderId="0" xfId="0" quotePrefix="1" applyNumberFormat="1" applyFon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 applyFont="1"/>
    <xf numFmtId="44" fontId="0" fillId="0" borderId="0" xfId="1" applyNumberFormat="1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workbookViewId="0">
      <selection sqref="A1:N1"/>
    </sheetView>
  </sheetViews>
  <sheetFormatPr defaultRowHeight="15" customHeight="1" x14ac:dyDescent="0.2"/>
  <cols>
    <col min="1" max="1" width="16.140625" style="2" customWidth="1"/>
    <col min="2" max="3" width="14.28515625" style="2" bestFit="1" customWidth="1"/>
    <col min="4" max="4" width="14.85546875" style="2" customWidth="1"/>
    <col min="5" max="5" width="13" style="2" customWidth="1"/>
    <col min="6" max="7" width="11.7109375" style="2" customWidth="1"/>
    <col min="8" max="8" width="15.140625" style="2" customWidth="1"/>
    <col min="9" max="9" width="14.7109375" style="2" customWidth="1"/>
    <col min="10" max="10" width="13.28515625" style="2" customWidth="1"/>
    <col min="11" max="11" width="11.7109375" style="2" customWidth="1"/>
    <col min="12" max="12" width="13.7109375" style="2" bestFit="1" customWidth="1"/>
    <col min="13" max="13" width="11.7109375" style="2" customWidth="1"/>
    <col min="14" max="14" width="15.140625" style="2" bestFit="1" customWidth="1"/>
    <col min="15" max="16384" width="9.140625" style="2"/>
  </cols>
  <sheetData>
    <row r="1" spans="1:17" ht="18.75" x14ac:dyDescent="0.3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"/>
      <c r="P1" s="1"/>
      <c r="Q1" s="1"/>
    </row>
    <row r="2" spans="1:17" ht="15.75" x14ac:dyDescent="0.25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"/>
      <c r="P2" s="1"/>
      <c r="Q2" s="1"/>
    </row>
    <row r="3" spans="1:17" ht="15.75" x14ac:dyDescent="0.25">
      <c r="A3" s="13" t="s">
        <v>32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"/>
      <c r="P3" s="1"/>
      <c r="Q3" s="1"/>
    </row>
    <row r="4" spans="1:17" ht="15.75" x14ac:dyDescent="0.25">
      <c r="A4" s="13" t="s">
        <v>19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"/>
      <c r="P4" s="1"/>
      <c r="Q4" s="1"/>
    </row>
    <row r="7" spans="1:17" s="3" customFormat="1" ht="45" x14ac:dyDescent="0.25">
      <c r="B7" s="4" t="s">
        <v>0</v>
      </c>
      <c r="C7" s="4" t="s">
        <v>1</v>
      </c>
      <c r="D7" s="4" t="s">
        <v>2</v>
      </c>
      <c r="E7" s="4" t="s">
        <v>12</v>
      </c>
      <c r="F7" s="4" t="s">
        <v>3</v>
      </c>
      <c r="G7" s="5" t="s">
        <v>4</v>
      </c>
      <c r="H7" s="4" t="s">
        <v>16</v>
      </c>
      <c r="I7" s="4" t="s">
        <v>3</v>
      </c>
      <c r="J7" s="4" t="s">
        <v>18</v>
      </c>
      <c r="K7" s="4" t="s">
        <v>5</v>
      </c>
      <c r="L7" s="4" t="s">
        <v>6</v>
      </c>
      <c r="M7" s="4" t="s">
        <v>7</v>
      </c>
      <c r="N7" s="4" t="s">
        <v>8</v>
      </c>
    </row>
    <row r="8" spans="1:17" s="3" customFormat="1" ht="15" customHeight="1" x14ac:dyDescent="0.25"/>
    <row r="9" spans="1:17" s="3" customFormat="1" ht="15" customHeight="1" x14ac:dyDescent="0.25">
      <c r="A9" s="6" t="s">
        <v>20</v>
      </c>
      <c r="B9" s="7">
        <f>'Table Games'!B6</f>
        <v>1228311.5</v>
      </c>
      <c r="C9" s="7">
        <f>'Video Lottery'!B6</f>
        <v>391926.25</v>
      </c>
      <c r="D9" s="7">
        <f>'Table Games'!C6+'Video Lottery'!C6</f>
        <v>509586.93000000005</v>
      </c>
      <c r="E9" s="7">
        <f>'Table Games'!D6+'Video Lottery'!D6</f>
        <v>76438.039999999994</v>
      </c>
      <c r="F9" s="7">
        <f>'Video Lottery'!E6</f>
        <v>3527.34</v>
      </c>
      <c r="G9" s="7">
        <f>'Table Games'!E6+'Video Lottery'!F6</f>
        <v>295.06</v>
      </c>
      <c r="H9" s="7">
        <f>'Table Games'!F6+'Video Lottery'!G6</f>
        <v>429916.61000000004</v>
      </c>
      <c r="I9" s="7">
        <f>'Table Games'!G6+'Video Lottery'!H6</f>
        <v>369728.30000000005</v>
      </c>
      <c r="J9" s="7">
        <f>'Table Games'!H6+'Video Lottery'!I6</f>
        <v>17196.669999999998</v>
      </c>
      <c r="K9" s="7">
        <f>'Table Games'!I6+'Video Lottery'!J6</f>
        <v>10747.91</v>
      </c>
      <c r="L9" s="7">
        <f>'Table Games'!J6+'Video Lottery'!K6</f>
        <v>10747.94</v>
      </c>
      <c r="M9" s="7">
        <f>'Table Games'!K6+'Video Lottery'!L6</f>
        <v>10747.62</v>
      </c>
      <c r="N9" s="7">
        <f>'Table Games'!L6+'Video Lottery'!M6</f>
        <v>10747.52</v>
      </c>
    </row>
    <row r="10" spans="1:17" s="3" customFormat="1" ht="15" customHeight="1" x14ac:dyDescent="0.25">
      <c r="A10" s="6" t="s">
        <v>22</v>
      </c>
      <c r="B10" s="7">
        <f>'Table Games'!B7</f>
        <v>832832.5</v>
      </c>
      <c r="C10" s="7">
        <f>'Video Lottery'!B7</f>
        <v>599035.93000000005</v>
      </c>
      <c r="D10" s="7">
        <f>'Table Games'!C7+'Video Lottery'!C7</f>
        <v>465502.65</v>
      </c>
      <c r="E10" s="7">
        <f>'Table Games'!D7+'Video Lottery'!D7</f>
        <v>69825.39</v>
      </c>
      <c r="F10" s="7">
        <f>'Video Lottery'!E7</f>
        <v>5391.32</v>
      </c>
      <c r="G10" s="7">
        <f>'Table Games'!E7+'Video Lottery'!F7</f>
        <v>260.31</v>
      </c>
      <c r="H10" s="7">
        <f>'Table Games'!F7+'Video Lottery'!G7</f>
        <v>390546.25</v>
      </c>
      <c r="I10" s="7">
        <f>'Table Games'!G7+'Video Lottery'!H7</f>
        <v>335869.8</v>
      </c>
      <c r="J10" s="7">
        <f>'Table Games'!H7+'Video Lottery'!I7</f>
        <v>15621.85</v>
      </c>
      <c r="K10" s="7">
        <f>'Table Games'!I7+'Video Lottery'!J7</f>
        <v>9763.6500000000015</v>
      </c>
      <c r="L10" s="7">
        <f>'Table Games'!J7+'Video Lottery'!K7</f>
        <v>9763.6</v>
      </c>
      <c r="M10" s="7">
        <f>'Table Games'!K7+'Video Lottery'!L7</f>
        <v>9763.7400000000016</v>
      </c>
      <c r="N10" s="7">
        <f>'Table Games'!L7+'Video Lottery'!M7</f>
        <v>9764.16</v>
      </c>
    </row>
    <row r="11" spans="1:17" s="3" customFormat="1" ht="15" customHeight="1" x14ac:dyDescent="0.25">
      <c r="A11" s="6" t="s">
        <v>23</v>
      </c>
      <c r="B11" s="7">
        <f>'Table Games'!B8</f>
        <v>-69977.5</v>
      </c>
      <c r="C11" s="7">
        <f>'Video Lottery'!B8</f>
        <v>574197.62</v>
      </c>
      <c r="D11" s="7">
        <f>'Table Games'!C8+'Video Lottery'!C8</f>
        <v>185717.90000000002</v>
      </c>
      <c r="E11" s="7">
        <f>'Table Games'!D8+'Video Lottery'!D8</f>
        <v>27857.68</v>
      </c>
      <c r="F11" s="7">
        <f>'Video Lottery'!E8</f>
        <v>5167.78</v>
      </c>
      <c r="G11" s="7">
        <f>'Table Games'!E8+'Video Lottery'!F8</f>
        <v>183.08</v>
      </c>
      <c r="H11" s="7">
        <f>'Table Games'!F8+'Video Lottery'!G8</f>
        <v>152875.52000000005</v>
      </c>
      <c r="I11" s="7">
        <f>'Table Games'!G8+'Video Lottery'!H8</f>
        <v>131472.94000000003</v>
      </c>
      <c r="J11" s="7">
        <f>'Table Games'!H8+'Video Lottery'!I8</f>
        <v>6115.02</v>
      </c>
      <c r="K11" s="7">
        <f>'Table Games'!I8+'Video Lottery'!J8</f>
        <v>3821.89</v>
      </c>
      <c r="L11" s="7">
        <f>'Table Games'!J8+'Video Lottery'!K8</f>
        <v>3821.9300000000003</v>
      </c>
      <c r="M11" s="7">
        <f>'Table Games'!K8+'Video Lottery'!L8</f>
        <v>3822.12</v>
      </c>
      <c r="N11" s="7">
        <f>'Table Games'!L8+'Video Lottery'!M8</f>
        <v>3821.4400000000005</v>
      </c>
    </row>
    <row r="12" spans="1:17" s="3" customFormat="1" ht="15" customHeight="1" x14ac:dyDescent="0.25">
      <c r="A12" s="6" t="s">
        <v>24</v>
      </c>
      <c r="B12" s="7">
        <f>'Table Games'!B9</f>
        <v>511315.25</v>
      </c>
      <c r="C12" s="7">
        <f>'Video Lottery'!B9</f>
        <v>255211.26</v>
      </c>
      <c r="D12" s="7">
        <f>'Table Games'!C9+'Video Lottery'!C9</f>
        <v>245270.57</v>
      </c>
      <c r="E12" s="7">
        <f>'Table Games'!D9+'Video Lottery'!D9</f>
        <v>36790.589999999997</v>
      </c>
      <c r="F12" s="7">
        <f>'Video Lottery'!E9</f>
        <v>2296.9</v>
      </c>
      <c r="G12" s="7">
        <f>'Table Games'!E9+'Video Lottery'!F9</f>
        <v>112.65</v>
      </c>
      <c r="H12" s="7">
        <f>'Table Games'!F9+'Video Lottery'!G9</f>
        <v>206295.73</v>
      </c>
      <c r="I12" s="7">
        <f>'Table Games'!G9+'Video Lottery'!H9</f>
        <v>177414.34</v>
      </c>
      <c r="J12" s="7">
        <f>'Table Games'!H9+'Video Lottery'!I9</f>
        <v>8251.83</v>
      </c>
      <c r="K12" s="7">
        <f>'Table Games'!I9+'Video Lottery'!J9</f>
        <v>5157.3899999999994</v>
      </c>
      <c r="L12" s="7">
        <f>'Table Games'!J9+'Video Lottery'!K9</f>
        <v>5157.3900000000003</v>
      </c>
      <c r="M12" s="7">
        <f>'Table Games'!K9+'Video Lottery'!L9</f>
        <v>5157.54</v>
      </c>
      <c r="N12" s="7">
        <f>'Table Games'!L9+'Video Lottery'!M9</f>
        <v>5158.7199999999993</v>
      </c>
    </row>
    <row r="13" spans="1:17" s="3" customFormat="1" ht="15" customHeight="1" x14ac:dyDescent="0.25">
      <c r="A13" s="6" t="s">
        <v>25</v>
      </c>
      <c r="B13" s="7">
        <f>'Table Games'!B10</f>
        <v>447767.5</v>
      </c>
      <c r="C13" s="7">
        <f>'Video Lottery'!B10</f>
        <v>437390.85</v>
      </c>
      <c r="D13" s="7">
        <f>'Table Games'!C10+'Video Lottery'!C10</f>
        <v>291790.99</v>
      </c>
      <c r="E13" s="7">
        <f>'Table Games'!D10+'Video Lottery'!D10</f>
        <v>43768.65</v>
      </c>
      <c r="F13" s="7">
        <f>'Video Lottery'!E10</f>
        <v>3936.52</v>
      </c>
      <c r="G13" s="7">
        <f>'Table Games'!E10+'Video Lottery'!F10</f>
        <v>87.53</v>
      </c>
      <c r="H13" s="7">
        <f>'Table Games'!F10+'Video Lottery'!G10</f>
        <v>244173.34999999998</v>
      </c>
      <c r="I13" s="7">
        <f>'Table Games'!G10+'Video Lottery'!H10</f>
        <v>209989.08999999997</v>
      </c>
      <c r="J13" s="7">
        <f>'Table Games'!H10+'Video Lottery'!I10</f>
        <v>9766.9399999999987</v>
      </c>
      <c r="K13" s="7">
        <f>'Table Games'!I10+'Video Lottery'!J10</f>
        <v>6104.33</v>
      </c>
      <c r="L13" s="7">
        <f>'Table Games'!J10+'Video Lottery'!K10</f>
        <v>6104.28</v>
      </c>
      <c r="M13" s="7">
        <f>'Table Games'!K10+'Video Lottery'!L10</f>
        <v>6104.16</v>
      </c>
      <c r="N13" s="7">
        <f>'Table Games'!L10+'Video Lottery'!M10</f>
        <v>6104</v>
      </c>
    </row>
    <row r="14" spans="1:17" s="3" customFormat="1" ht="15" customHeight="1" x14ac:dyDescent="0.25">
      <c r="A14" s="6" t="s">
        <v>26</v>
      </c>
      <c r="B14" s="7">
        <f>'Table Games'!B11</f>
        <v>584972</v>
      </c>
      <c r="C14" s="7">
        <f>'Video Lottery'!B11</f>
        <v>472626.2799999998</v>
      </c>
      <c r="D14" s="7">
        <f>'Table Games'!C11+'Video Lottery'!C11</f>
        <v>345637.1</v>
      </c>
      <c r="E14" s="7">
        <f>'Table Games'!D11+'Video Lottery'!D11</f>
        <v>51845.570000000007</v>
      </c>
      <c r="F14" s="7">
        <f>'Video Lottery'!E11</f>
        <v>4253.6400000000003</v>
      </c>
      <c r="G14" s="7">
        <f>'Table Games'!E11+'Video Lottery'!F11</f>
        <v>86.78</v>
      </c>
      <c r="H14" s="7">
        <f>'Table Games'!F11+'Video Lottery'!G11</f>
        <v>289624.67000000004</v>
      </c>
      <c r="I14" s="7">
        <f>'Table Games'!G11+'Video Lottery'!H11</f>
        <v>249077.2</v>
      </c>
      <c r="J14" s="7">
        <f>'Table Games'!H11+'Video Lottery'!I11</f>
        <v>11584.99</v>
      </c>
      <c r="K14" s="7">
        <f>'Table Games'!I11+'Video Lottery'!J11</f>
        <v>7240.6200000000008</v>
      </c>
      <c r="L14" s="7">
        <f>'Table Games'!J11+'Video Lottery'!K11</f>
        <v>7240.66</v>
      </c>
      <c r="M14" s="7">
        <f>'Table Games'!K11+'Video Lottery'!L11</f>
        <v>7240.3200000000006</v>
      </c>
      <c r="N14" s="7">
        <f>'Table Games'!L11+'Video Lottery'!M11</f>
        <v>7239.68</v>
      </c>
    </row>
    <row r="15" spans="1:17" s="3" customFormat="1" ht="15" customHeight="1" x14ac:dyDescent="0.25">
      <c r="A15" s="6" t="s">
        <v>27</v>
      </c>
      <c r="B15" s="7">
        <f>'Table Games'!B12</f>
        <v>637152</v>
      </c>
      <c r="C15" s="7">
        <f>'Video Lottery'!B12</f>
        <v>492651.95</v>
      </c>
      <c r="D15" s="7">
        <f>'Table Games'!C12+'Video Lottery'!C12</f>
        <v>368500.31000000006</v>
      </c>
      <c r="E15" s="7">
        <f>'Table Games'!D12+'Video Lottery'!D12</f>
        <v>55275.05</v>
      </c>
      <c r="F15" s="7">
        <f>'Video Lottery'!E12</f>
        <v>4433.87</v>
      </c>
      <c r="G15" s="7">
        <f>'Table Games'!E12+'Video Lottery'!F12</f>
        <v>91.15</v>
      </c>
      <c r="H15" s="7">
        <f>'Table Games'!F12+'Video Lottery'!G12</f>
        <v>308882.54000000004</v>
      </c>
      <c r="I15" s="7">
        <f>'Table Games'!G12+'Video Lottery'!H12</f>
        <v>265639</v>
      </c>
      <c r="J15" s="7">
        <f>'Table Games'!H12+'Video Lottery'!I12</f>
        <v>12355.3</v>
      </c>
      <c r="K15" s="7">
        <f>'Table Games'!I12+'Video Lottery'!J12</f>
        <v>7722.0599999999995</v>
      </c>
      <c r="L15" s="7">
        <f>'Table Games'!J12+'Video Lottery'!K12</f>
        <v>7722.0499999999993</v>
      </c>
      <c r="M15" s="7">
        <f>'Table Games'!K12+'Video Lottery'!L12</f>
        <v>7722.5399999999991</v>
      </c>
      <c r="N15" s="7">
        <f>'Table Games'!L12+'Video Lottery'!M12</f>
        <v>7721.28</v>
      </c>
    </row>
    <row r="16" spans="1:17" s="3" customFormat="1" ht="15" customHeight="1" x14ac:dyDescent="0.25">
      <c r="A16" s="6" t="s">
        <v>28</v>
      </c>
      <c r="B16" s="7">
        <f>'Table Games'!B13</f>
        <v>770101</v>
      </c>
      <c r="C16" s="7">
        <f>'Video Lottery'!B13</f>
        <v>541487.98</v>
      </c>
      <c r="D16" s="7">
        <f>'Table Games'!C13+'Video Lottery'!C13</f>
        <v>425965.93</v>
      </c>
      <c r="E16" s="7">
        <f>'Table Games'!D13+'Video Lottery'!D13</f>
        <v>63894.89</v>
      </c>
      <c r="F16" s="7">
        <f>'Video Lottery'!E13</f>
        <v>4873.3900000000003</v>
      </c>
      <c r="G16" s="7">
        <f>'Table Games'!E13+'Video Lottery'!F13</f>
        <v>73.89</v>
      </c>
      <c r="H16" s="7">
        <f>'Table Games'!F13+'Video Lottery'!G13</f>
        <v>357271.54000000004</v>
      </c>
      <c r="I16" s="7">
        <f>'Table Games'!G13+'Video Lottery'!H13</f>
        <v>307253.52</v>
      </c>
      <c r="J16" s="7">
        <f>'Table Games'!H13+'Video Lottery'!I13</f>
        <v>14290.86</v>
      </c>
      <c r="K16" s="7">
        <f>'Table Games'!I13+'Video Lottery'!J13</f>
        <v>8931.7899999999991</v>
      </c>
      <c r="L16" s="7">
        <f>'Table Games'!J13+'Video Lottery'!K13</f>
        <v>8931.7899999999991</v>
      </c>
      <c r="M16" s="7">
        <f>'Table Games'!K13+'Video Lottery'!L13</f>
        <v>8931.5999999999985</v>
      </c>
      <c r="N16" s="7">
        <f>'Table Games'!L13+'Video Lottery'!M13</f>
        <v>8933.119999999999</v>
      </c>
    </row>
    <row r="17" spans="1:14" s="3" customFormat="1" ht="15" customHeight="1" x14ac:dyDescent="0.25">
      <c r="A17" s="6" t="s">
        <v>29</v>
      </c>
      <c r="B17" s="7">
        <f>'Table Games'!B14</f>
        <v>557110.5</v>
      </c>
      <c r="C17" s="7">
        <f>'Video Lottery'!B14</f>
        <v>390948.24</v>
      </c>
      <c r="D17" s="7">
        <f>'Table Games'!C14+'Video Lottery'!C14</f>
        <v>307874.49</v>
      </c>
      <c r="E17" s="7">
        <f>'Table Games'!D14+'Video Lottery'!D14</f>
        <v>46181.17</v>
      </c>
      <c r="F17" s="7">
        <f>'Video Lottery'!E14</f>
        <v>3518.53</v>
      </c>
      <c r="G17" s="7">
        <f>'Table Games'!E14+'Video Lottery'!F14</f>
        <v>71.91</v>
      </c>
      <c r="H17" s="7">
        <f>'Table Games'!F14+'Video Lottery'!G14</f>
        <v>258246.69999999998</v>
      </c>
      <c r="I17" s="7">
        <f>'Table Games'!G14+'Video Lottery'!H14</f>
        <v>222092.15000000002</v>
      </c>
      <c r="J17" s="7">
        <f>'Table Games'!H14+'Video Lottery'!I14</f>
        <v>10329.869999999999</v>
      </c>
      <c r="K17" s="7">
        <f>'Table Games'!I14+'Video Lottery'!J14</f>
        <v>6456.17</v>
      </c>
      <c r="L17" s="7">
        <f>'Table Games'!J14+'Video Lottery'!K14</f>
        <v>6456.17</v>
      </c>
      <c r="M17" s="7">
        <f>'Table Games'!K14+'Video Lottery'!L14</f>
        <v>6456.24</v>
      </c>
      <c r="N17" s="7">
        <f>'Table Games'!L14+'Video Lottery'!M14</f>
        <v>6455.68</v>
      </c>
    </row>
    <row r="18" spans="1:14" s="3" customFormat="1" ht="15" customHeight="1" x14ac:dyDescent="0.25">
      <c r="A18" s="6" t="s">
        <v>30</v>
      </c>
      <c r="B18" s="7">
        <f>'Table Games'!B15</f>
        <v>407413.5</v>
      </c>
      <c r="C18" s="7">
        <f>'Video Lottery'!B15</f>
        <v>392122.10000000003</v>
      </c>
      <c r="D18" s="7">
        <f>'Table Games'!C15+'Video Lottery'!C15</f>
        <v>263388</v>
      </c>
      <c r="E18" s="7">
        <f>'Table Games'!D15+'Video Lottery'!D15</f>
        <v>39508.199999999997</v>
      </c>
      <c r="F18" s="7">
        <f>'Video Lottery'!E15</f>
        <v>3529.1</v>
      </c>
      <c r="G18" s="7">
        <f>'Table Games'!E15+'Video Lottery'!F15</f>
        <v>63.24</v>
      </c>
      <c r="H18" s="7">
        <f>'Table Games'!F15+'Video Lottery'!G15</f>
        <v>220413.93999999997</v>
      </c>
      <c r="I18" s="7">
        <f>'Table Games'!G15+'Video Lottery'!H15</f>
        <v>189555.97999999998</v>
      </c>
      <c r="J18" s="7">
        <f>'Table Games'!H15+'Video Lottery'!I15</f>
        <v>8816.5600000000013</v>
      </c>
      <c r="K18" s="7">
        <f>'Table Games'!I15+'Video Lottery'!J15</f>
        <v>5510.35</v>
      </c>
      <c r="L18" s="7">
        <f>'Table Games'!J15+'Video Lottery'!K15</f>
        <v>5510.33</v>
      </c>
      <c r="M18" s="7">
        <f>'Table Games'!K15+'Video Lottery'!L15</f>
        <v>5510.16</v>
      </c>
      <c r="N18" s="7">
        <f>'Table Games'!L15+'Video Lottery'!M15</f>
        <v>5510.4000000000005</v>
      </c>
    </row>
    <row r="19" spans="1:14" s="3" customFormat="1" ht="15" customHeight="1" x14ac:dyDescent="0.25">
      <c r="A19" s="6" t="s">
        <v>31</v>
      </c>
      <c r="B19" s="7">
        <f>'Table Games'!B16</f>
        <v>601056</v>
      </c>
      <c r="C19" s="7">
        <f>'Video Lottery'!B16</f>
        <v>471411.13</v>
      </c>
      <c r="D19" s="7">
        <f>'Table Games'!C16+'Video Lottery'!C16</f>
        <v>350024.82</v>
      </c>
      <c r="E19" s="7">
        <f>'Table Games'!D16+'Video Lottery'!D16</f>
        <v>52503.72</v>
      </c>
      <c r="F19" s="7">
        <f>'Video Lottery'!E16</f>
        <v>4242.7</v>
      </c>
      <c r="G19" s="7">
        <f>'Table Games'!E16+'Video Lottery'!F16</f>
        <v>54.62</v>
      </c>
      <c r="H19" s="7">
        <f>'Table Games'!F16+'Video Lottery'!G16</f>
        <v>293333.02</v>
      </c>
      <c r="I19" s="7">
        <f>'Table Games'!G16+'Video Lottery'!H16</f>
        <v>252266.41999999998</v>
      </c>
      <c r="J19" s="7">
        <f>'Table Games'!H16+'Video Lottery'!I16</f>
        <v>11733.32</v>
      </c>
      <c r="K19" s="7">
        <f>'Table Games'!I16+'Video Lottery'!J16</f>
        <v>7333.32</v>
      </c>
      <c r="L19" s="7">
        <f>'Table Games'!J16+'Video Lottery'!K16</f>
        <v>7333.34</v>
      </c>
      <c r="M19" s="7">
        <f>'Table Games'!K16+'Video Lottery'!L16</f>
        <v>7333.2</v>
      </c>
      <c r="N19" s="7">
        <f>'Table Games'!L16+'Video Lottery'!M16</f>
        <v>7333.7599999999993</v>
      </c>
    </row>
    <row r="20" spans="1:14" s="3" customFormat="1" ht="15" customHeight="1" x14ac:dyDescent="0.25">
      <c r="A20" s="6" t="s">
        <v>33</v>
      </c>
      <c r="B20" s="7">
        <f>'Table Games'!B17</f>
        <v>173635</v>
      </c>
      <c r="C20" s="7">
        <f>'Video Lottery'!B17</f>
        <v>535712.98</v>
      </c>
      <c r="D20" s="7">
        <f>'Table Games'!C17+'Video Lottery'!C17</f>
        <v>244947.12</v>
      </c>
      <c r="E20" s="7">
        <f>'Table Games'!D17+'Video Lottery'!D17</f>
        <v>36742.06</v>
      </c>
      <c r="F20" s="7">
        <f>'Video Lottery'!E17</f>
        <v>4821.42</v>
      </c>
      <c r="G20" s="7">
        <f>'Table Games'!E17+'Video Lottery'!F17</f>
        <v>45.98</v>
      </c>
      <c r="H20" s="7">
        <f>'Table Games'!F17+'Video Lottery'!G17</f>
        <v>203429.62</v>
      </c>
      <c r="I20" s="7">
        <f>'Table Games'!G17+'Video Lottery'!H17</f>
        <v>174949.47</v>
      </c>
      <c r="J20" s="7">
        <f>'Table Games'!H17+'Video Lottery'!I17</f>
        <v>8137.19</v>
      </c>
      <c r="K20" s="7">
        <f>'Table Games'!I17+'Video Lottery'!J17</f>
        <v>5085.74</v>
      </c>
      <c r="L20" s="7">
        <f>'Table Games'!J17+'Video Lottery'!K17</f>
        <v>5085.7099999999991</v>
      </c>
      <c r="M20" s="7">
        <f>'Table Games'!K17+'Video Lottery'!L17</f>
        <v>5085.7199999999993</v>
      </c>
      <c r="N20" s="7">
        <f>'Table Games'!L17+'Video Lottery'!M17</f>
        <v>5084.8</v>
      </c>
    </row>
    <row r="21" spans="1:14" s="3" customFormat="1" ht="15" customHeight="1" x14ac:dyDescent="0.25"/>
    <row r="22" spans="1:14" s="3" customFormat="1" ht="15" customHeight="1" thickBot="1" x14ac:dyDescent="0.3">
      <c r="B22" s="8">
        <f t="shared" ref="B22:N22" si="0">SUM(B9:B21)</f>
        <v>6681689.25</v>
      </c>
      <c r="C22" s="8">
        <f t="shared" si="0"/>
        <v>5554722.5700000003</v>
      </c>
      <c r="D22" s="8">
        <f t="shared" si="0"/>
        <v>4004206.81</v>
      </c>
      <c r="E22" s="8">
        <f t="shared" si="0"/>
        <v>600631.01</v>
      </c>
      <c r="F22" s="8">
        <f t="shared" si="0"/>
        <v>49992.509999999987</v>
      </c>
      <c r="G22" s="8">
        <f t="shared" si="0"/>
        <v>1426.2000000000003</v>
      </c>
      <c r="H22" s="8">
        <f t="shared" si="0"/>
        <v>3355009.49</v>
      </c>
      <c r="I22" s="8">
        <f t="shared" si="0"/>
        <v>2885308.2100000004</v>
      </c>
      <c r="J22" s="8">
        <f t="shared" si="0"/>
        <v>134200.4</v>
      </c>
      <c r="K22" s="8">
        <f t="shared" si="0"/>
        <v>83875.220000000016</v>
      </c>
      <c r="L22" s="8">
        <f t="shared" si="0"/>
        <v>83875.19</v>
      </c>
      <c r="M22" s="8">
        <f t="shared" si="0"/>
        <v>83874.960000000006</v>
      </c>
      <c r="N22" s="8">
        <f t="shared" si="0"/>
        <v>83874.559999999998</v>
      </c>
    </row>
    <row r="23" spans="1:14" ht="15" customHeight="1" thickTop="1" x14ac:dyDescent="0.2"/>
    <row r="24" spans="1:14" ht="15" customHeight="1" x14ac:dyDescent="0.2">
      <c r="A24" s="9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workbookViewId="0">
      <pane ySplit="3" topLeftCell="A4" activePane="bottomLeft" state="frozen"/>
      <selection pane="bottomLeft" activeCell="A19" sqref="A19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3.7109375" style="3" customWidth="1"/>
    <col min="6" max="6" width="11.7109375" style="3" customWidth="1"/>
    <col min="7" max="7" width="15" style="3" bestFit="1" customWidth="1"/>
    <col min="8" max="8" width="14.28515625" style="3" bestFit="1" customWidth="1"/>
    <col min="9" max="10" width="11.7109375" style="3" customWidth="1"/>
    <col min="11" max="11" width="13.7109375" style="3" bestFit="1" customWidth="1"/>
    <col min="12" max="12" width="11.7109375" style="3" customWidth="1"/>
    <col min="13" max="13" width="15.140625" style="3" bestFit="1" customWidth="1"/>
    <col min="14" max="16384" width="9.140625" style="3"/>
  </cols>
  <sheetData>
    <row r="1" spans="1:13" ht="45" x14ac:dyDescent="0.25">
      <c r="B1" s="4" t="s">
        <v>13</v>
      </c>
      <c r="C1" s="4" t="s">
        <v>2</v>
      </c>
      <c r="D1" s="4" t="s">
        <v>12</v>
      </c>
      <c r="E1" s="4" t="s">
        <v>3</v>
      </c>
      <c r="F1" s="5" t="s">
        <v>4</v>
      </c>
      <c r="G1" s="4" t="s">
        <v>14</v>
      </c>
      <c r="H1" s="4" t="s">
        <v>3</v>
      </c>
      <c r="I1" s="4" t="s">
        <v>18</v>
      </c>
      <c r="J1" s="4" t="s">
        <v>5</v>
      </c>
      <c r="K1" s="4" t="s">
        <v>6</v>
      </c>
      <c r="L1" s="4" t="s">
        <v>7</v>
      </c>
      <c r="M1" s="4" t="s">
        <v>8</v>
      </c>
    </row>
    <row r="2" spans="1:13" ht="15" customHeight="1" x14ac:dyDescent="0.25">
      <c r="A2" s="6" t="s">
        <v>21</v>
      </c>
      <c r="B2" s="11">
        <v>3729722.61</v>
      </c>
      <c r="C2" s="11">
        <v>1342700.18</v>
      </c>
      <c r="D2" s="11">
        <v>201405.02999999997</v>
      </c>
      <c r="E2" s="11">
        <v>33567.5</v>
      </c>
      <c r="F2" s="11">
        <v>4584.07</v>
      </c>
      <c r="G2" s="11">
        <v>1112311.72</v>
      </c>
      <c r="H2" s="11">
        <v>956587.98</v>
      </c>
      <c r="I2" s="11">
        <v>44492.460000000006</v>
      </c>
      <c r="J2" s="11">
        <v>27807.82</v>
      </c>
      <c r="K2" s="11">
        <v>27807.809999999998</v>
      </c>
      <c r="L2" s="11">
        <v>27807.73</v>
      </c>
      <c r="M2" s="11">
        <v>27808.3</v>
      </c>
    </row>
    <row r="4" spans="1:13" ht="15" customHeight="1" x14ac:dyDescent="0.25">
      <c r="A4" s="14" t="s">
        <v>19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6" spans="1:13" ht="15" customHeight="1" x14ac:dyDescent="0.25">
      <c r="A6" s="6" t="s">
        <v>20</v>
      </c>
      <c r="B6" s="7">
        <v>391926.25</v>
      </c>
      <c r="C6" s="7">
        <f>ROUND(B6*0.36,2)+0.03</f>
        <v>141093.48000000001</v>
      </c>
      <c r="D6" s="7">
        <f>ROUND(C6*0.15,2)</f>
        <v>21164.02</v>
      </c>
      <c r="E6" s="7">
        <f t="shared" ref="E6:E17" si="0">ROUND($C6*0.025,2)</f>
        <v>3527.34</v>
      </c>
      <c r="F6" s="7">
        <v>147.53</v>
      </c>
      <c r="G6" s="7">
        <f t="shared" ref="G6" si="1">C6-D6-E6+F6</f>
        <v>116549.65000000001</v>
      </c>
      <c r="H6" s="7">
        <f>ROUND($G6*0.86,2)</f>
        <v>100232.7</v>
      </c>
      <c r="I6" s="7">
        <f t="shared" ref="I6:I16" si="2">ROUND($G6*0.04,2)</f>
        <v>4661.99</v>
      </c>
      <c r="J6" s="7">
        <f t="shared" ref="J6:J17" si="3">ROUND($G6*0.025,2)</f>
        <v>2913.74</v>
      </c>
      <c r="K6" s="7">
        <f>ROUND($G6*0.025,2)+0.02</f>
        <v>2913.7599999999998</v>
      </c>
      <c r="L6" s="7">
        <f>ROUND($G6*0.025,2)-0.14</f>
        <v>2913.6</v>
      </c>
      <c r="M6" s="7">
        <f>ROUND($G6*0.025,2)-0.2</f>
        <v>2913.54</v>
      </c>
    </row>
    <row r="7" spans="1:13" ht="15" customHeight="1" x14ac:dyDescent="0.25">
      <c r="A7" s="6" t="s">
        <v>22</v>
      </c>
      <c r="B7" s="7">
        <v>599035.93000000005</v>
      </c>
      <c r="C7" s="7">
        <f>ROUND(B7*0.36,2)-0.04</f>
        <v>215652.88999999998</v>
      </c>
      <c r="D7" s="7">
        <f t="shared" ref="D7:D15" si="4">ROUND(C7*0.15,2)</f>
        <v>32347.93</v>
      </c>
      <c r="E7" s="7">
        <f t="shared" si="0"/>
        <v>5391.32</v>
      </c>
      <c r="F7" s="7">
        <v>130.15</v>
      </c>
      <c r="G7" s="7">
        <f t="shared" ref="G7" si="5">C7-D7-E7+F7</f>
        <v>178043.78999999998</v>
      </c>
      <c r="H7" s="7">
        <f>ROUND($G7*0.86,2)+0.02</f>
        <v>153117.68</v>
      </c>
      <c r="I7" s="7">
        <f t="shared" si="2"/>
        <v>7121.75</v>
      </c>
      <c r="J7" s="7">
        <f t="shared" si="3"/>
        <v>4451.09</v>
      </c>
      <c r="K7" s="7">
        <f>ROUND($G7*0.025,2)-0.02</f>
        <v>4451.07</v>
      </c>
      <c r="L7" s="7">
        <f>ROUND($G7*0.025,2)+0.04</f>
        <v>4451.13</v>
      </c>
      <c r="M7" s="7">
        <f>ROUND($G7*0.025,2)+0.26</f>
        <v>4451.3500000000004</v>
      </c>
    </row>
    <row r="8" spans="1:13" ht="15" customHeight="1" x14ac:dyDescent="0.25">
      <c r="A8" s="6" t="s">
        <v>23</v>
      </c>
      <c r="B8" s="7">
        <v>574197.62</v>
      </c>
      <c r="C8" s="7">
        <f>ROUND(B8*0.36,2)+0.01</f>
        <v>206711.15000000002</v>
      </c>
      <c r="D8" s="7">
        <f t="shared" si="4"/>
        <v>31006.67</v>
      </c>
      <c r="E8" s="7">
        <f t="shared" si="0"/>
        <v>5167.78</v>
      </c>
      <c r="F8" s="7">
        <v>91.54</v>
      </c>
      <c r="G8" s="7">
        <f t="shared" ref="G8" si="6">C8-D8-E8+F8</f>
        <v>170628.24000000005</v>
      </c>
      <c r="H8" s="7">
        <f>ROUND($G8*0.86,2)-0.02</f>
        <v>146740.27000000002</v>
      </c>
      <c r="I8" s="7">
        <f t="shared" si="2"/>
        <v>6825.13</v>
      </c>
      <c r="J8" s="7">
        <f t="shared" si="3"/>
        <v>4265.71</v>
      </c>
      <c r="K8" s="7">
        <f>ROUND($G8*0.025,2)+0.02</f>
        <v>4265.7300000000005</v>
      </c>
      <c r="L8" s="7">
        <f>ROUND($G8*0.025,2)+0.11</f>
        <v>4265.82</v>
      </c>
      <c r="M8" s="7">
        <f>ROUND($G8*0.025,2)-0.23</f>
        <v>4265.4800000000005</v>
      </c>
    </row>
    <row r="9" spans="1:13" ht="15" customHeight="1" x14ac:dyDescent="0.25">
      <c r="A9" s="6" t="s">
        <v>24</v>
      </c>
      <c r="B9" s="7">
        <v>255211.26</v>
      </c>
      <c r="C9" s="7">
        <f>ROUND(B9*0.36,2)-0.06</f>
        <v>91875.99</v>
      </c>
      <c r="D9" s="7">
        <f t="shared" si="4"/>
        <v>13781.4</v>
      </c>
      <c r="E9" s="7">
        <f t="shared" si="0"/>
        <v>2296.9</v>
      </c>
      <c r="F9" s="7">
        <v>56.33</v>
      </c>
      <c r="G9" s="7">
        <f t="shared" ref="G9" si="7">C9-D9-E9+F9</f>
        <v>75854.020000000019</v>
      </c>
      <c r="H9" s="7">
        <f>ROUND($G9*0.86,2)</f>
        <v>65234.46</v>
      </c>
      <c r="I9" s="7">
        <f t="shared" si="2"/>
        <v>3034.16</v>
      </c>
      <c r="J9" s="7">
        <f t="shared" si="3"/>
        <v>1896.35</v>
      </c>
      <c r="K9" s="7">
        <f>ROUND($G9*0.025,2)-0.01</f>
        <v>1896.34</v>
      </c>
      <c r="L9" s="7">
        <f>ROUND($G9*0.025,2)+0.08</f>
        <v>1896.4299999999998</v>
      </c>
      <c r="M9" s="7">
        <f>ROUND($G9*0.025,2)+0.67</f>
        <v>1897.02</v>
      </c>
    </row>
    <row r="10" spans="1:13" ht="15" customHeight="1" x14ac:dyDescent="0.25">
      <c r="A10" s="6" t="s">
        <v>25</v>
      </c>
      <c r="B10" s="7">
        <v>437390.85</v>
      </c>
      <c r="C10" s="7">
        <f>ROUND(B10*0.36,2)+0.03</f>
        <v>157460.74</v>
      </c>
      <c r="D10" s="7">
        <f t="shared" si="4"/>
        <v>23619.11</v>
      </c>
      <c r="E10" s="7">
        <f t="shared" si="0"/>
        <v>3936.52</v>
      </c>
      <c r="F10" s="7">
        <v>43.77</v>
      </c>
      <c r="G10" s="7">
        <f t="shared" ref="G10" si="8">C10-D10-E10+F10</f>
        <v>129948.88</v>
      </c>
      <c r="H10" s="7">
        <f>ROUND($G10*0.86,2)</f>
        <v>111756.04</v>
      </c>
      <c r="I10" s="7">
        <f t="shared" si="2"/>
        <v>5197.96</v>
      </c>
      <c r="J10" s="7">
        <f t="shared" si="3"/>
        <v>3248.72</v>
      </c>
      <c r="K10" s="7">
        <f>ROUND($G10*0.025,2)-0.02</f>
        <v>3248.7</v>
      </c>
      <c r="L10" s="7">
        <f>ROUND($G10*0.025,2)-0.09</f>
        <v>3248.6299999999997</v>
      </c>
      <c r="M10" s="7">
        <f>ROUND($G10*0.025,2)-0.16</f>
        <v>3248.56</v>
      </c>
    </row>
    <row r="11" spans="1:13" ht="15" customHeight="1" x14ac:dyDescent="0.25">
      <c r="A11" s="6" t="s">
        <v>26</v>
      </c>
      <c r="B11" s="7">
        <v>472626.2799999998</v>
      </c>
      <c r="C11" s="7">
        <f>ROUND(B11*0.36,2)+0.05</f>
        <v>170145.50999999998</v>
      </c>
      <c r="D11" s="7">
        <f t="shared" si="4"/>
        <v>25521.83</v>
      </c>
      <c r="E11" s="7">
        <f t="shared" si="0"/>
        <v>4253.6400000000003</v>
      </c>
      <c r="F11" s="7">
        <v>43.39</v>
      </c>
      <c r="G11" s="7">
        <f t="shared" ref="G11" si="9">C11-D11-E11+F11</f>
        <v>140413.43</v>
      </c>
      <c r="H11" s="7">
        <f>ROUND($G11*0.86,2)-0.02</f>
        <v>120755.53</v>
      </c>
      <c r="I11" s="7">
        <f t="shared" si="2"/>
        <v>5616.54</v>
      </c>
      <c r="J11" s="7">
        <f t="shared" si="3"/>
        <v>3510.34</v>
      </c>
      <c r="K11" s="7">
        <f>ROUND($G11*0.025,2)+0.02</f>
        <v>3510.36</v>
      </c>
      <c r="L11" s="7">
        <f>ROUND($G11*0.025,2)-0.14</f>
        <v>3510.2000000000003</v>
      </c>
      <c r="M11" s="7">
        <f>ROUND($G11*0.025,2)-0.47</f>
        <v>3509.8700000000003</v>
      </c>
    </row>
    <row r="12" spans="1:13" ht="15" customHeight="1" x14ac:dyDescent="0.25">
      <c r="A12" s="6" t="s">
        <v>27</v>
      </c>
      <c r="B12" s="7">
        <v>492651.95</v>
      </c>
      <c r="C12" s="7">
        <f t="shared" ref="C12" si="10">ROUND(B12*0.36,2)</f>
        <v>177354.7</v>
      </c>
      <c r="D12" s="7">
        <f t="shared" si="4"/>
        <v>26603.21</v>
      </c>
      <c r="E12" s="7">
        <f t="shared" si="0"/>
        <v>4433.87</v>
      </c>
      <c r="F12" s="7">
        <v>45.57</v>
      </c>
      <c r="G12" s="7">
        <f t="shared" ref="G12" si="11">C12-D12-E12+F12</f>
        <v>146363.19000000003</v>
      </c>
      <c r="H12" s="7">
        <f>ROUND($G12*0.86,2)</f>
        <v>125872.34</v>
      </c>
      <c r="I12" s="7">
        <f t="shared" si="2"/>
        <v>5854.53</v>
      </c>
      <c r="J12" s="7">
        <f t="shared" si="3"/>
        <v>3659.08</v>
      </c>
      <c r="K12" s="7">
        <f>ROUND($G12*0.025,2)-0.01</f>
        <v>3659.0699999999997</v>
      </c>
      <c r="L12" s="7">
        <f>ROUND($G12*0.025,2)+0.24</f>
        <v>3659.3199999999997</v>
      </c>
      <c r="M12" s="7">
        <f>ROUND($G12*0.025,2)-0.4</f>
        <v>3658.68</v>
      </c>
    </row>
    <row r="13" spans="1:13" ht="14.25" customHeight="1" x14ac:dyDescent="0.25">
      <c r="A13" s="6" t="s">
        <v>28</v>
      </c>
      <c r="B13" s="7">
        <v>541487.98</v>
      </c>
      <c r="C13" s="7">
        <f>ROUND(B13*0.36,2)-0.04</f>
        <v>194935.63</v>
      </c>
      <c r="D13" s="7">
        <f t="shared" si="4"/>
        <v>29240.34</v>
      </c>
      <c r="E13" s="7">
        <f t="shared" si="0"/>
        <v>4873.3900000000003</v>
      </c>
      <c r="F13" s="7">
        <v>36.950000000000003</v>
      </c>
      <c r="G13" s="7">
        <f t="shared" ref="G13" si="12">C13-D13-E13+F13</f>
        <v>160858.85</v>
      </c>
      <c r="H13" s="7">
        <f>ROUND($G13*0.86,2)+0.01</f>
        <v>138338.62</v>
      </c>
      <c r="I13" s="7">
        <f t="shared" si="2"/>
        <v>6434.35</v>
      </c>
      <c r="J13" s="7">
        <f t="shared" si="3"/>
        <v>4021.47</v>
      </c>
      <c r="K13" s="7">
        <f>ROUND($G13*0.025,2)+0.01</f>
        <v>4021.48</v>
      </c>
      <c r="L13" s="7">
        <f>ROUND($G13*0.025,2)-0.1</f>
        <v>4021.37</v>
      </c>
      <c r="M13" s="7">
        <f>ROUND($G13*0.025,2)+0.67</f>
        <v>4022.14</v>
      </c>
    </row>
    <row r="14" spans="1:13" ht="14.25" customHeight="1" x14ac:dyDescent="0.25">
      <c r="A14" s="6" t="s">
        <v>29</v>
      </c>
      <c r="B14" s="7">
        <v>390948.24</v>
      </c>
      <c r="C14" s="7">
        <f>ROUND(B14*0.36,2)-0.04</f>
        <v>140741.32999999999</v>
      </c>
      <c r="D14" s="7">
        <f t="shared" si="4"/>
        <v>21111.200000000001</v>
      </c>
      <c r="E14" s="7">
        <f t="shared" si="0"/>
        <v>3518.53</v>
      </c>
      <c r="F14" s="7">
        <v>35.950000000000003</v>
      </c>
      <c r="G14" s="7">
        <f t="shared" ref="G14" si="13">C14-D14-E14+F14</f>
        <v>116147.54999999999</v>
      </c>
      <c r="H14" s="7">
        <f>ROUND($G14*0.86,2)</f>
        <v>99886.89</v>
      </c>
      <c r="I14" s="7">
        <f t="shared" si="2"/>
        <v>4645.8999999999996</v>
      </c>
      <c r="J14" s="7">
        <f t="shared" si="3"/>
        <v>2903.69</v>
      </c>
      <c r="K14" s="7">
        <f>ROUND($G14*0.025,2)</f>
        <v>2903.69</v>
      </c>
      <c r="L14" s="7">
        <f>ROUND($G14*0.025,2)+0.03</f>
        <v>2903.7200000000003</v>
      </c>
      <c r="M14" s="7">
        <f>ROUND($G14*0.025,2)-0.24</f>
        <v>2903.4500000000003</v>
      </c>
    </row>
    <row r="15" spans="1:13" ht="14.25" customHeight="1" x14ac:dyDescent="0.25">
      <c r="A15" s="6" t="s">
        <v>30</v>
      </c>
      <c r="B15" s="7">
        <v>392122.10000000003</v>
      </c>
      <c r="C15" s="7">
        <f>ROUND(B15*0.36,2)-0.01</f>
        <v>141163.94999999998</v>
      </c>
      <c r="D15" s="7">
        <f t="shared" si="4"/>
        <v>21174.59</v>
      </c>
      <c r="E15" s="7">
        <f t="shared" si="0"/>
        <v>3529.1</v>
      </c>
      <c r="F15" s="7">
        <v>31.62</v>
      </c>
      <c r="G15" s="7">
        <f t="shared" ref="G15" si="14">C15-D15-E15+F15</f>
        <v>116491.87999999998</v>
      </c>
      <c r="H15" s="7">
        <f>ROUND($G15*0.86,2)-0.02</f>
        <v>100183</v>
      </c>
      <c r="I15" s="7">
        <f t="shared" si="2"/>
        <v>4659.68</v>
      </c>
      <c r="J15" s="7">
        <f t="shared" si="3"/>
        <v>2912.3</v>
      </c>
      <c r="K15" s="7">
        <f>ROUND($G15*0.025,2)-0.01</f>
        <v>2912.29</v>
      </c>
      <c r="L15" s="7">
        <f>ROUND($G15*0.025,2)-0.09</f>
        <v>2912.21</v>
      </c>
      <c r="M15" s="7">
        <f>ROUND($G15*0.025,2)+0.02</f>
        <v>2912.32</v>
      </c>
    </row>
    <row r="16" spans="1:13" ht="14.25" customHeight="1" x14ac:dyDescent="0.25">
      <c r="A16" s="6" t="s">
        <v>31</v>
      </c>
      <c r="B16" s="7">
        <v>471411.13</v>
      </c>
      <c r="C16" s="7">
        <f>ROUND(B16*0.36,2)+0.01</f>
        <v>169708.02000000002</v>
      </c>
      <c r="D16" s="7">
        <f t="shared" ref="D16" si="15">ROUND(C16*0.15,2)</f>
        <v>25456.2</v>
      </c>
      <c r="E16" s="7">
        <f t="shared" si="0"/>
        <v>4242.7</v>
      </c>
      <c r="F16" s="7">
        <v>27.31</v>
      </c>
      <c r="G16" s="7">
        <f t="shared" ref="G16" si="16">C16-D16-E16+F16</f>
        <v>140036.43</v>
      </c>
      <c r="H16" s="7">
        <f>ROUND($G16*0.86,2)</f>
        <v>120431.33</v>
      </c>
      <c r="I16" s="7">
        <f t="shared" si="2"/>
        <v>5601.46</v>
      </c>
      <c r="J16" s="7">
        <f t="shared" si="3"/>
        <v>3500.91</v>
      </c>
      <c r="K16" s="7">
        <f>ROUND($G16*0.025,2)</f>
        <v>3500.91</v>
      </c>
      <c r="L16" s="7">
        <f>ROUND($G16*0.025,2)-0.06</f>
        <v>3500.85</v>
      </c>
      <c r="M16" s="7">
        <f>ROUND($G16*0.025,2)+0.22</f>
        <v>3501.1299999999997</v>
      </c>
    </row>
    <row r="17" spans="1:13" ht="14.25" customHeight="1" x14ac:dyDescent="0.25">
      <c r="A17" s="6" t="s">
        <v>33</v>
      </c>
      <c r="B17" s="7">
        <v>535712.98</v>
      </c>
      <c r="C17" s="7">
        <f>ROUND(B17*0.36,2)-0.04</f>
        <v>192856.63</v>
      </c>
      <c r="D17" s="7">
        <f t="shared" ref="D17" si="17">ROUND(C17*0.15,2)</f>
        <v>28928.49</v>
      </c>
      <c r="E17" s="7">
        <f t="shared" si="0"/>
        <v>4821.42</v>
      </c>
      <c r="F17" s="7">
        <v>22.99</v>
      </c>
      <c r="G17" s="7">
        <f t="shared" ref="G17" si="18">C17-D17-E17+F17</f>
        <v>159129.71</v>
      </c>
      <c r="H17" s="7">
        <f>ROUND($G17*0.86,2)+0.01</f>
        <v>136851.56</v>
      </c>
      <c r="I17" s="7">
        <f>ROUND($G17*0.04,2)</f>
        <v>6365.19</v>
      </c>
      <c r="J17" s="7">
        <f t="shared" si="3"/>
        <v>3978.24</v>
      </c>
      <c r="K17" s="7">
        <f>ROUND($G17*0.025,2)-0.01</f>
        <v>3978.2299999999996</v>
      </c>
      <c r="L17" s="7">
        <f>ROUND($G17*0.025,2)-0.01</f>
        <v>3978.2299999999996</v>
      </c>
      <c r="M17" s="7">
        <f>ROUND($G17*0.025,2)-0.47</f>
        <v>3977.77</v>
      </c>
    </row>
    <row r="19" spans="1:13" ht="15" customHeight="1" thickBot="1" x14ac:dyDescent="0.3">
      <c r="B19" s="8">
        <f t="shared" ref="B19:M19" si="19">SUM(B6:B18)</f>
        <v>5554722.5700000003</v>
      </c>
      <c r="C19" s="8">
        <f t="shared" si="19"/>
        <v>1999700.02</v>
      </c>
      <c r="D19" s="8">
        <f t="shared" si="19"/>
        <v>299954.99</v>
      </c>
      <c r="E19" s="8">
        <f t="shared" si="19"/>
        <v>49992.509999999987</v>
      </c>
      <c r="F19" s="8">
        <f t="shared" si="19"/>
        <v>713.10000000000014</v>
      </c>
      <c r="G19" s="8">
        <f t="shared" si="19"/>
        <v>1650465.6199999999</v>
      </c>
      <c r="H19" s="8">
        <f t="shared" si="19"/>
        <v>1419400.4200000002</v>
      </c>
      <c r="I19" s="8">
        <f t="shared" si="19"/>
        <v>66018.64</v>
      </c>
      <c r="J19" s="8">
        <f t="shared" si="19"/>
        <v>41261.639999999992</v>
      </c>
      <c r="K19" s="8">
        <f t="shared" si="19"/>
        <v>41261.62999999999</v>
      </c>
      <c r="L19" s="8">
        <f t="shared" si="19"/>
        <v>41261.509999999995</v>
      </c>
      <c r="M19" s="8">
        <f t="shared" si="19"/>
        <v>41261.31</v>
      </c>
    </row>
    <row r="20" spans="1:13" ht="15" customHeight="1" thickTop="1" x14ac:dyDescent="0.25"/>
    <row r="21" spans="1:13" ht="15" customHeight="1" x14ac:dyDescent="0.25">
      <c r="A21" s="9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workbookViewId="0">
      <pane ySplit="3" topLeftCell="A4" activePane="bottomLeft" state="frozen"/>
      <selection pane="bottomLeft" activeCell="A19" sqref="A19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1.7109375" style="3" customWidth="1"/>
    <col min="6" max="6" width="14.85546875" style="3" customWidth="1"/>
    <col min="7" max="7" width="14.28515625" style="3" bestFit="1" customWidth="1"/>
    <col min="8" max="9" width="11.7109375" style="3" customWidth="1"/>
    <col min="10" max="10" width="13.7109375" style="3" bestFit="1" customWidth="1"/>
    <col min="11" max="11" width="11.7109375" style="3" customWidth="1"/>
    <col min="12" max="12" width="15.140625" style="3" bestFit="1" customWidth="1"/>
    <col min="13" max="16384" width="9.140625" style="3"/>
  </cols>
  <sheetData>
    <row r="1" spans="1:12" ht="45" x14ac:dyDescent="0.25">
      <c r="B1" s="4" t="s">
        <v>10</v>
      </c>
      <c r="C1" s="4" t="s">
        <v>2</v>
      </c>
      <c r="D1" s="4" t="s">
        <v>12</v>
      </c>
      <c r="E1" s="5" t="s">
        <v>4</v>
      </c>
      <c r="F1" s="4" t="s">
        <v>15</v>
      </c>
      <c r="G1" s="4" t="s">
        <v>3</v>
      </c>
      <c r="H1" s="4" t="s">
        <v>18</v>
      </c>
      <c r="I1" s="4" t="s">
        <v>5</v>
      </c>
      <c r="J1" s="4" t="s">
        <v>6</v>
      </c>
      <c r="K1" s="4" t="s">
        <v>7</v>
      </c>
      <c r="L1" s="4" t="s">
        <v>8</v>
      </c>
    </row>
    <row r="2" spans="1:12" ht="15" customHeight="1" x14ac:dyDescent="0.25">
      <c r="A2" s="6" t="s">
        <v>21</v>
      </c>
      <c r="B2" s="11">
        <v>4281893</v>
      </c>
      <c r="C2" s="11">
        <v>1284567.8799999999</v>
      </c>
      <c r="D2" s="11">
        <v>192685.2</v>
      </c>
      <c r="E2" s="11">
        <v>4584.07</v>
      </c>
      <c r="F2" s="11">
        <v>1096466.75</v>
      </c>
      <c r="G2" s="11">
        <v>942961.32000000007</v>
      </c>
      <c r="H2" s="11">
        <v>43858.67</v>
      </c>
      <c r="I2" s="11">
        <v>27411.69</v>
      </c>
      <c r="J2" s="11">
        <v>27411.689999999995</v>
      </c>
      <c r="K2" s="11">
        <v>27411.590000000004</v>
      </c>
      <c r="L2" s="11">
        <v>27412.180000000004</v>
      </c>
    </row>
    <row r="4" spans="1:12" ht="15" customHeight="1" x14ac:dyDescent="0.25">
      <c r="A4" s="14" t="s">
        <v>19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6" spans="1:12" ht="15" customHeight="1" x14ac:dyDescent="0.25">
      <c r="A6" s="10" t="s">
        <v>20</v>
      </c>
      <c r="B6" s="7">
        <v>1228311.5</v>
      </c>
      <c r="C6" s="7">
        <f>ROUND($B6*0.3,2)</f>
        <v>368493.45</v>
      </c>
      <c r="D6" s="7">
        <f t="shared" ref="D6:D17" si="0">ROUND($C6*0.15,2)</f>
        <v>55274.02</v>
      </c>
      <c r="E6" s="7">
        <v>147.53</v>
      </c>
      <c r="F6" s="7">
        <f t="shared" ref="F6" si="1">C6-D6+E6</f>
        <v>313366.96000000002</v>
      </c>
      <c r="G6" s="7">
        <f>ROUND($F6*0.86,2)+0.01</f>
        <v>269495.60000000003</v>
      </c>
      <c r="H6" s="7">
        <f t="shared" ref="H6:H16" si="2">ROUND($F6*0.04,2)</f>
        <v>12534.68</v>
      </c>
      <c r="I6" s="7">
        <f t="shared" ref="I6:I17" si="3">ROUND($F6*0.025,2)</f>
        <v>7834.17</v>
      </c>
      <c r="J6" s="7">
        <f>ROUND($F6*0.025,2)+0.01</f>
        <v>7834.18</v>
      </c>
      <c r="K6" s="7">
        <f>ROUND($F6*0.025,2)-0.15</f>
        <v>7834.02</v>
      </c>
      <c r="L6" s="7">
        <f>ROUND($F6*0.025,2)-0.19</f>
        <v>7833.9800000000005</v>
      </c>
    </row>
    <row r="7" spans="1:12" ht="15" customHeight="1" x14ac:dyDescent="0.25">
      <c r="A7" s="10" t="s">
        <v>22</v>
      </c>
      <c r="B7" s="7">
        <v>832832.5</v>
      </c>
      <c r="C7" s="7">
        <f>ROUND($B7*0.3,2)+0.01</f>
        <v>249849.76</v>
      </c>
      <c r="D7" s="7">
        <f t="shared" si="0"/>
        <v>37477.46</v>
      </c>
      <c r="E7" s="7">
        <v>130.16</v>
      </c>
      <c r="F7" s="7">
        <f t="shared" ref="F7:F8" si="4">C7-D7+E7</f>
        <v>212502.46000000002</v>
      </c>
      <c r="G7" s="7">
        <f>ROUND($F7*0.86,2)</f>
        <v>182752.12</v>
      </c>
      <c r="H7" s="7">
        <f t="shared" si="2"/>
        <v>8500.1</v>
      </c>
      <c r="I7" s="7">
        <f t="shared" si="3"/>
        <v>5312.56</v>
      </c>
      <c r="J7" s="7">
        <f>ROUND($F7*0.025,2)-0.03</f>
        <v>5312.5300000000007</v>
      </c>
      <c r="K7" s="7">
        <f>ROUND($F7*0.025,2)+0.05</f>
        <v>5312.6100000000006</v>
      </c>
      <c r="L7" s="7">
        <f>ROUND($F7*0.025,2)+0.25</f>
        <v>5312.81</v>
      </c>
    </row>
    <row r="8" spans="1:12" ht="15" customHeight="1" x14ac:dyDescent="0.25">
      <c r="A8" s="10" t="s">
        <v>23</v>
      </c>
      <c r="B8" s="7">
        <v>-69977.5</v>
      </c>
      <c r="C8" s="7">
        <f>ROUND($B8*0.3,2)</f>
        <v>-20993.25</v>
      </c>
      <c r="D8" s="7">
        <f t="shared" si="0"/>
        <v>-3148.99</v>
      </c>
      <c r="E8" s="7">
        <v>91.54</v>
      </c>
      <c r="F8" s="7">
        <f t="shared" si="4"/>
        <v>-17752.72</v>
      </c>
      <c r="G8" s="7">
        <f>ROUND($F8*0.86,2)+0.01</f>
        <v>-15267.33</v>
      </c>
      <c r="H8" s="7">
        <f t="shared" si="2"/>
        <v>-710.11</v>
      </c>
      <c r="I8" s="7">
        <f t="shared" si="3"/>
        <v>-443.82</v>
      </c>
      <c r="J8" s="7">
        <f>ROUND($F8*0.025,2)+0.02</f>
        <v>-443.8</v>
      </c>
      <c r="K8" s="7">
        <f>ROUND($F8*0.025,2)+0.12</f>
        <v>-443.7</v>
      </c>
      <c r="L8" s="7">
        <f>ROUND($F8*0.025,2)-0.22</f>
        <v>-444.04</v>
      </c>
    </row>
    <row r="9" spans="1:12" ht="15" customHeight="1" x14ac:dyDescent="0.25">
      <c r="A9" s="10" t="s">
        <v>24</v>
      </c>
      <c r="B9" s="7">
        <v>511315.25</v>
      </c>
      <c r="C9" s="7">
        <f>ROUND($B9*0.3,2)</f>
        <v>153394.57999999999</v>
      </c>
      <c r="D9" s="7">
        <f t="shared" si="0"/>
        <v>23009.19</v>
      </c>
      <c r="E9" s="7">
        <v>56.32</v>
      </c>
      <c r="F9" s="7">
        <f t="shared" ref="F9" si="5">C9-D9+E9</f>
        <v>130441.70999999999</v>
      </c>
      <c r="G9" s="7">
        <f>ROUND($F9*0.86,2)+0.01</f>
        <v>112179.87999999999</v>
      </c>
      <c r="H9" s="7">
        <f t="shared" si="2"/>
        <v>5217.67</v>
      </c>
      <c r="I9" s="7">
        <f t="shared" si="3"/>
        <v>3261.04</v>
      </c>
      <c r="J9" s="7">
        <f>ROUND($F9*0.025,2)+0.01</f>
        <v>3261.05</v>
      </c>
      <c r="K9" s="7">
        <f>ROUND($F9*0.025,2)+0.07</f>
        <v>3261.11</v>
      </c>
      <c r="L9" s="7">
        <f>ROUND($F9*0.025,2)+0.66</f>
        <v>3261.7</v>
      </c>
    </row>
    <row r="10" spans="1:12" ht="15" customHeight="1" x14ac:dyDescent="0.25">
      <c r="A10" s="10" t="s">
        <v>25</v>
      </c>
      <c r="B10" s="7">
        <v>447767.5</v>
      </c>
      <c r="C10" s="7">
        <f>ROUND($B10*0.3,2)</f>
        <v>134330.25</v>
      </c>
      <c r="D10" s="7">
        <f t="shared" si="0"/>
        <v>20149.54</v>
      </c>
      <c r="E10" s="7">
        <v>43.76</v>
      </c>
      <c r="F10" s="7">
        <f t="shared" ref="F10" si="6">C10-D10+E10</f>
        <v>114224.46999999999</v>
      </c>
      <c r="G10" s="7">
        <f>ROUND($F10*0.86,2)+0.01</f>
        <v>98233.049999999988</v>
      </c>
      <c r="H10" s="7">
        <f t="shared" si="2"/>
        <v>4568.9799999999996</v>
      </c>
      <c r="I10" s="7">
        <f t="shared" si="3"/>
        <v>2855.61</v>
      </c>
      <c r="J10" s="7">
        <f>ROUND($F10*0.025,2)-0.03</f>
        <v>2855.58</v>
      </c>
      <c r="K10" s="7">
        <f>ROUND($F10*0.025,2)-0.08</f>
        <v>2855.53</v>
      </c>
      <c r="L10" s="7">
        <f>ROUND($F10*0.025,2)-0.17</f>
        <v>2855.44</v>
      </c>
    </row>
    <row r="11" spans="1:12" ht="15" customHeight="1" x14ac:dyDescent="0.25">
      <c r="A11" s="10" t="s">
        <v>26</v>
      </c>
      <c r="B11" s="7">
        <v>584972</v>
      </c>
      <c r="C11" s="7">
        <f>ROUND($B11*0.3,2)-0.01</f>
        <v>175491.59</v>
      </c>
      <c r="D11" s="7">
        <f t="shared" si="0"/>
        <v>26323.74</v>
      </c>
      <c r="E11" s="7">
        <v>43.39</v>
      </c>
      <c r="F11" s="7">
        <f t="shared" ref="F11" si="7">C11-D11+E11</f>
        <v>149211.24000000002</v>
      </c>
      <c r="G11" s="7">
        <f>ROUND($F11*0.86,2)</f>
        <v>128321.67</v>
      </c>
      <c r="H11" s="7">
        <f t="shared" si="2"/>
        <v>5968.45</v>
      </c>
      <c r="I11" s="7">
        <f t="shared" si="3"/>
        <v>3730.28</v>
      </c>
      <c r="J11" s="7">
        <f>ROUND($F11*0.025,2)+0.02</f>
        <v>3730.3</v>
      </c>
      <c r="K11" s="7">
        <f>ROUND($F11*0.025,2)-0.16</f>
        <v>3730.1200000000003</v>
      </c>
      <c r="L11" s="7">
        <f>ROUND($F11*0.025,2)-0.47</f>
        <v>3729.8100000000004</v>
      </c>
    </row>
    <row r="12" spans="1:12" ht="15" customHeight="1" x14ac:dyDescent="0.25">
      <c r="A12" s="10" t="s">
        <v>27</v>
      </c>
      <c r="B12" s="7">
        <v>637152</v>
      </c>
      <c r="C12" s="7">
        <f>ROUND($B12*0.3,2)+0.01</f>
        <v>191145.61000000002</v>
      </c>
      <c r="D12" s="7">
        <f t="shared" si="0"/>
        <v>28671.84</v>
      </c>
      <c r="E12" s="7">
        <v>45.58</v>
      </c>
      <c r="F12" s="7">
        <f t="shared" ref="F12" si="8">C12-D12+E12</f>
        <v>162519.35</v>
      </c>
      <c r="G12" s="7">
        <f>ROUND($F12*0.86,2)+0.02</f>
        <v>139766.66</v>
      </c>
      <c r="H12" s="7">
        <f t="shared" si="2"/>
        <v>6500.77</v>
      </c>
      <c r="I12" s="7">
        <f t="shared" si="3"/>
        <v>4062.98</v>
      </c>
      <c r="J12" s="7">
        <f>ROUND($F12*0.025,2)</f>
        <v>4062.98</v>
      </c>
      <c r="K12" s="7">
        <f>ROUND($F12*0.025,2)+0.24</f>
        <v>4063.22</v>
      </c>
      <c r="L12" s="7">
        <f>ROUND($F12*0.025,2)-0.38</f>
        <v>4062.6</v>
      </c>
    </row>
    <row r="13" spans="1:12" ht="15" customHeight="1" x14ac:dyDescent="0.25">
      <c r="A13" s="10" t="s">
        <v>28</v>
      </c>
      <c r="B13" s="7">
        <v>770101</v>
      </c>
      <c r="C13" s="7">
        <f>ROUND($B13*0.3,2)</f>
        <v>231030.3</v>
      </c>
      <c r="D13" s="7">
        <f t="shared" si="0"/>
        <v>34654.550000000003</v>
      </c>
      <c r="E13" s="7">
        <v>36.94</v>
      </c>
      <c r="F13" s="7">
        <f t="shared" ref="F13" si="9">C13-D13+E13</f>
        <v>196412.69</v>
      </c>
      <c r="G13" s="7">
        <f>ROUND($F13*0.86,2)-0.01</f>
        <v>168914.9</v>
      </c>
      <c r="H13" s="7">
        <f t="shared" si="2"/>
        <v>7856.51</v>
      </c>
      <c r="I13" s="7">
        <f t="shared" si="3"/>
        <v>4910.32</v>
      </c>
      <c r="J13" s="7">
        <f>ROUND($F13*0.025,2)-0.01</f>
        <v>4910.3099999999995</v>
      </c>
      <c r="K13" s="7">
        <f>ROUND($F13*0.025,2)-0.09</f>
        <v>4910.2299999999996</v>
      </c>
      <c r="L13" s="7">
        <f>ROUND($F13*0.025,2)+0.66</f>
        <v>4910.9799999999996</v>
      </c>
    </row>
    <row r="14" spans="1:12" ht="15" customHeight="1" x14ac:dyDescent="0.25">
      <c r="A14" s="10" t="s">
        <v>29</v>
      </c>
      <c r="B14" s="7">
        <v>557110.5</v>
      </c>
      <c r="C14" s="7">
        <f t="shared" ref="C14" si="10">ROUND($B14*0.3,2)+0.01</f>
        <v>167133.16</v>
      </c>
      <c r="D14" s="7">
        <f t="shared" si="0"/>
        <v>25069.97</v>
      </c>
      <c r="E14" s="7">
        <v>35.96</v>
      </c>
      <c r="F14" s="7">
        <f t="shared" ref="F14" si="11">C14-D14+E14</f>
        <v>142099.15</v>
      </c>
      <c r="G14" s="7">
        <f>ROUND($F14*0.86,2)-0.01</f>
        <v>122205.26000000001</v>
      </c>
      <c r="H14" s="7">
        <f t="shared" si="2"/>
        <v>5683.97</v>
      </c>
      <c r="I14" s="7">
        <f t="shared" si="3"/>
        <v>3552.48</v>
      </c>
      <c r="J14" s="7">
        <f>ROUND($F14*0.025,2)</f>
        <v>3552.48</v>
      </c>
      <c r="K14" s="7">
        <f>ROUND($F14*0.025,2)+0.04</f>
        <v>3552.52</v>
      </c>
      <c r="L14" s="7">
        <f>ROUND($F14*0.025,2)-0.25</f>
        <v>3552.23</v>
      </c>
    </row>
    <row r="15" spans="1:12" ht="15" customHeight="1" x14ac:dyDescent="0.25">
      <c r="A15" s="10" t="s">
        <v>30</v>
      </c>
      <c r="B15" s="7">
        <v>407413.5</v>
      </c>
      <c r="C15" s="7">
        <f>ROUND($B15*0.3,2)</f>
        <v>122224.05</v>
      </c>
      <c r="D15" s="7">
        <f t="shared" si="0"/>
        <v>18333.61</v>
      </c>
      <c r="E15" s="7">
        <v>31.62</v>
      </c>
      <c r="F15" s="7">
        <f t="shared" ref="F15" si="12">C15-D15+E15</f>
        <v>103922.06</v>
      </c>
      <c r="G15" s="7">
        <f>ROUND($F15*0.86,2)+0.01</f>
        <v>89372.98</v>
      </c>
      <c r="H15" s="7">
        <f t="shared" si="2"/>
        <v>4156.88</v>
      </c>
      <c r="I15" s="7">
        <f t="shared" si="3"/>
        <v>2598.0500000000002</v>
      </c>
      <c r="J15" s="7">
        <f>ROUND($F15*0.025,2)-0.01</f>
        <v>2598.04</v>
      </c>
      <c r="K15" s="7">
        <f>ROUND($F15*0.025,2)-0.1</f>
        <v>2597.9500000000003</v>
      </c>
      <c r="L15" s="7">
        <f>ROUND($F15*0.025,2)+0.03</f>
        <v>2598.0800000000004</v>
      </c>
    </row>
    <row r="16" spans="1:12" ht="15" customHeight="1" x14ac:dyDescent="0.25">
      <c r="A16" s="10" t="s">
        <v>31</v>
      </c>
      <c r="B16" s="7">
        <v>601056</v>
      </c>
      <c r="C16" s="7">
        <f>ROUND($B16*0.3,2)</f>
        <v>180316.79999999999</v>
      </c>
      <c r="D16" s="7">
        <f t="shared" si="0"/>
        <v>27047.52</v>
      </c>
      <c r="E16" s="7">
        <v>27.31</v>
      </c>
      <c r="F16" s="7">
        <f t="shared" ref="F16" si="13">C16-D16+E16</f>
        <v>153296.59</v>
      </c>
      <c r="G16" s="7">
        <f>ROUND($F16*0.86,2)+0.02</f>
        <v>131835.09</v>
      </c>
      <c r="H16" s="7">
        <f t="shared" si="2"/>
        <v>6131.86</v>
      </c>
      <c r="I16" s="7">
        <f t="shared" si="3"/>
        <v>3832.41</v>
      </c>
      <c r="J16" s="7">
        <f>ROUND($F16*0.025,2)+0.02</f>
        <v>3832.43</v>
      </c>
      <c r="K16" s="7">
        <f>ROUND($F16*0.025,2)-0.06</f>
        <v>3832.35</v>
      </c>
      <c r="L16" s="7">
        <f>ROUND($F16*0.025,2)+0.22</f>
        <v>3832.6299999999997</v>
      </c>
    </row>
    <row r="17" spans="1:12" ht="15" customHeight="1" x14ac:dyDescent="0.25">
      <c r="A17" s="10" t="s">
        <v>33</v>
      </c>
      <c r="B17" s="7">
        <v>173635</v>
      </c>
      <c r="C17" s="7">
        <f>ROUND($B17*0.3,2)-0.01</f>
        <v>52090.49</v>
      </c>
      <c r="D17" s="7">
        <f t="shared" si="0"/>
        <v>7813.57</v>
      </c>
      <c r="E17" s="7">
        <v>22.99</v>
      </c>
      <c r="F17" s="7">
        <f t="shared" ref="F17" si="14">C17-D17+E17</f>
        <v>44299.909999999996</v>
      </c>
      <c r="G17" s="7">
        <f>ROUND($F17*0.86,2)-0.01</f>
        <v>38097.909999999996</v>
      </c>
      <c r="H17" s="7">
        <f>ROUND($F17*0.04,2)</f>
        <v>1772</v>
      </c>
      <c r="I17" s="7">
        <f t="shared" si="3"/>
        <v>1107.5</v>
      </c>
      <c r="J17" s="7">
        <f>ROUND($F17*0.025,2)-0.02</f>
        <v>1107.48</v>
      </c>
      <c r="K17" s="7">
        <f>ROUND($F17*0.025,2)-0.01</f>
        <v>1107.49</v>
      </c>
      <c r="L17" s="7">
        <f>ROUND($F17*0.025,2)-0.47</f>
        <v>1107.03</v>
      </c>
    </row>
    <row r="18" spans="1:12" ht="15" customHeight="1" x14ac:dyDescent="0.25">
      <c r="A18" s="10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</row>
    <row r="19" spans="1:12" ht="15" customHeight="1" thickBot="1" x14ac:dyDescent="0.3">
      <c r="B19" s="8">
        <f>SUM(B6:B18)</f>
        <v>6681689.25</v>
      </c>
      <c r="C19" s="8">
        <f t="shared" ref="C19:L19" si="15">SUM(C6:C18)</f>
        <v>2004506.79</v>
      </c>
      <c r="D19" s="8">
        <f t="shared" si="15"/>
        <v>300676.02</v>
      </c>
      <c r="E19" s="8">
        <f t="shared" si="15"/>
        <v>713.1</v>
      </c>
      <c r="F19" s="8">
        <f t="shared" si="15"/>
        <v>1704543.8699999999</v>
      </c>
      <c r="G19" s="8">
        <f t="shared" si="15"/>
        <v>1465907.79</v>
      </c>
      <c r="H19" s="8">
        <f t="shared" si="15"/>
        <v>68181.759999999995</v>
      </c>
      <c r="I19" s="8">
        <f t="shared" si="15"/>
        <v>42613.58</v>
      </c>
      <c r="J19" s="8">
        <f t="shared" si="15"/>
        <v>42613.560000000005</v>
      </c>
      <c r="K19" s="8">
        <f t="shared" si="15"/>
        <v>42613.44999999999</v>
      </c>
      <c r="L19" s="8">
        <f t="shared" si="15"/>
        <v>42613.25</v>
      </c>
    </row>
    <row r="20" spans="1:12" ht="15" customHeight="1" thickTop="1" x14ac:dyDescent="0.25"/>
    <row r="21" spans="1:12" ht="15" customHeight="1" x14ac:dyDescent="0.25">
      <c r="A21" s="9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Lisa Mahaffey</cp:lastModifiedBy>
  <cp:lastPrinted>2020-11-06T15:36:45Z</cp:lastPrinted>
  <dcterms:created xsi:type="dcterms:W3CDTF">2017-06-09T17:49:43Z</dcterms:created>
  <dcterms:modified xsi:type="dcterms:W3CDTF">2021-07-14T19:10:18Z</dcterms:modified>
</cp:coreProperties>
</file>